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352" lockStructure="1"/>
  <bookViews>
    <workbookView xWindow="120" yWindow="45" windowWidth="23715" windowHeight="10035"/>
  </bookViews>
  <sheets>
    <sheet name="Cubierta" sheetId="2" r:id="rId1"/>
    <sheet name="Analisis" sheetId="1" r:id="rId2"/>
  </sheets>
  <definedNames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41310.5609606481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4525"/>
</workbook>
</file>

<file path=xl/calcChain.xml><?xml version="1.0" encoding="utf-8"?>
<calcChain xmlns="http://schemas.openxmlformats.org/spreadsheetml/2006/main">
  <c r="E52" i="1" l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B3" i="1"/>
  <c r="E44" i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D25" i="1"/>
  <c r="D27" i="1" l="1"/>
  <c r="E25" i="1"/>
  <c r="E35" i="1" l="1"/>
  <c r="E27" i="1"/>
  <c r="F25" i="1"/>
  <c r="H10" i="1"/>
  <c r="D37" i="1" s="1"/>
  <c r="E37" i="1" s="1"/>
  <c r="C38" i="1"/>
  <c r="C35" i="1"/>
  <c r="C53" i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C26" i="1"/>
  <c r="H13" i="1"/>
  <c r="C10" i="1"/>
  <c r="C14" i="1"/>
  <c r="C13" i="1" s="1"/>
  <c r="C46" i="1" l="1"/>
  <c r="D45" i="1" s="1"/>
  <c r="P47" i="1" s="1"/>
  <c r="C30" i="1"/>
  <c r="C31" i="1" s="1"/>
  <c r="D36" i="1"/>
  <c r="E36" i="1"/>
  <c r="E38" i="1" s="1"/>
  <c r="F37" i="1"/>
  <c r="F35" i="1"/>
  <c r="F36" i="1"/>
  <c r="F27" i="1"/>
  <c r="G25" i="1"/>
  <c r="J47" i="1"/>
  <c r="D38" i="1"/>
  <c r="D35" i="1"/>
  <c r="D29" i="1"/>
  <c r="E29" i="1" s="1"/>
  <c r="F29" i="1" s="1"/>
  <c r="G47" i="1" l="1"/>
  <c r="G28" i="1" s="1"/>
  <c r="D49" i="1"/>
  <c r="N47" i="1"/>
  <c r="H47" i="1"/>
  <c r="D47" i="1"/>
  <c r="D28" i="1" s="1"/>
  <c r="E47" i="1"/>
  <c r="E28" i="1" s="1"/>
  <c r="O47" i="1"/>
  <c r="Q47" i="1"/>
  <c r="R47" i="1"/>
  <c r="L47" i="1"/>
  <c r="K47" i="1"/>
  <c r="I47" i="1"/>
  <c r="M47" i="1"/>
  <c r="F47" i="1"/>
  <c r="F28" i="1" s="1"/>
  <c r="F38" i="1"/>
  <c r="G27" i="1"/>
  <c r="G37" i="1"/>
  <c r="G35" i="1"/>
  <c r="G36" i="1"/>
  <c r="G29" i="1"/>
  <c r="H25" i="1"/>
  <c r="D26" i="1" l="1"/>
  <c r="D31" i="1" s="1"/>
  <c r="G38" i="1"/>
  <c r="D48" i="1"/>
  <c r="D46" i="1" s="1"/>
  <c r="E45" i="1" s="1"/>
  <c r="E49" i="1" s="1"/>
  <c r="E26" i="1" s="1"/>
  <c r="E31" i="1" s="1"/>
  <c r="H27" i="1"/>
  <c r="H35" i="1"/>
  <c r="H36" i="1"/>
  <c r="H37" i="1"/>
  <c r="H29" i="1"/>
  <c r="I25" i="1"/>
  <c r="H28" i="1"/>
  <c r="I27" i="1" l="1"/>
  <c r="I36" i="1"/>
  <c r="I35" i="1"/>
  <c r="I37" i="1"/>
  <c r="H38" i="1"/>
  <c r="I29" i="1"/>
  <c r="J25" i="1"/>
  <c r="I28" i="1"/>
  <c r="E48" i="1"/>
  <c r="E46" i="1" s="1"/>
  <c r="F45" i="1" s="1"/>
  <c r="J27" i="1" l="1"/>
  <c r="J35" i="1"/>
  <c r="J36" i="1"/>
  <c r="J37" i="1"/>
  <c r="I38" i="1"/>
  <c r="J29" i="1"/>
  <c r="K25" i="1"/>
  <c r="J28" i="1"/>
  <c r="F49" i="1"/>
  <c r="F26" i="1" s="1"/>
  <c r="F31" i="1" s="1"/>
  <c r="K37" i="1" l="1"/>
  <c r="J38" i="1"/>
  <c r="K35" i="1"/>
  <c r="K36" i="1"/>
  <c r="K29" i="1"/>
  <c r="L25" i="1"/>
  <c r="K28" i="1"/>
  <c r="F48" i="1"/>
  <c r="L37" i="1" l="1"/>
  <c r="K38" i="1"/>
  <c r="L35" i="1"/>
  <c r="L36" i="1"/>
  <c r="L27" i="1"/>
  <c r="L29" i="1"/>
  <c r="L28" i="1"/>
  <c r="M25" i="1"/>
  <c r="F46" i="1"/>
  <c r="G45" i="1" s="1"/>
  <c r="M37" i="1" l="1"/>
  <c r="L38" i="1"/>
  <c r="M36" i="1"/>
  <c r="M35" i="1"/>
  <c r="M27" i="1"/>
  <c r="M29" i="1"/>
  <c r="N25" i="1"/>
  <c r="M28" i="1"/>
  <c r="G49" i="1"/>
  <c r="G26" i="1" s="1"/>
  <c r="G31" i="1" s="1"/>
  <c r="M38" i="1" l="1"/>
  <c r="N35" i="1"/>
  <c r="N37" i="1"/>
  <c r="N36" i="1"/>
  <c r="N27" i="1"/>
  <c r="N29" i="1"/>
  <c r="O25" i="1"/>
  <c r="N28" i="1"/>
  <c r="G48" i="1"/>
  <c r="N38" i="1" l="1"/>
  <c r="O35" i="1"/>
  <c r="O37" i="1"/>
  <c r="O36" i="1"/>
  <c r="O38" i="1" s="1"/>
  <c r="O27" i="1"/>
  <c r="O29" i="1"/>
  <c r="P25" i="1"/>
  <c r="O28" i="1"/>
  <c r="G46" i="1"/>
  <c r="H45" i="1" s="1"/>
  <c r="P35" i="1" l="1"/>
  <c r="P37" i="1"/>
  <c r="P36" i="1"/>
  <c r="P27" i="1"/>
  <c r="P29" i="1"/>
  <c r="Q25" i="1"/>
  <c r="P28" i="1"/>
  <c r="H49" i="1"/>
  <c r="H26" i="1" s="1"/>
  <c r="H31" i="1" s="1"/>
  <c r="Q37" i="1" l="1"/>
  <c r="Q36" i="1"/>
  <c r="Q35" i="1"/>
  <c r="P38" i="1"/>
  <c r="Q27" i="1"/>
  <c r="Q29" i="1"/>
  <c r="R25" i="1"/>
  <c r="S25" i="1" s="1"/>
  <c r="Q28" i="1"/>
  <c r="H48" i="1"/>
  <c r="Q38" i="1" l="1"/>
  <c r="S29" i="1"/>
  <c r="S35" i="1"/>
  <c r="S36" i="1"/>
  <c r="S28" i="1"/>
  <c r="S26" i="1" s="1"/>
  <c r="R29" i="1"/>
  <c r="R35" i="1"/>
  <c r="R37" i="1"/>
  <c r="S37" i="1" s="1"/>
  <c r="R36" i="1"/>
  <c r="R28" i="1"/>
  <c r="R27" i="1"/>
  <c r="H46" i="1"/>
  <c r="I45" i="1" s="1"/>
  <c r="R38" i="1" l="1"/>
  <c r="S38" i="1"/>
  <c r="I49" i="1"/>
  <c r="I26" i="1" s="1"/>
  <c r="I31" i="1" s="1"/>
  <c r="C39" i="1" l="1"/>
  <c r="I48" i="1"/>
  <c r="I46" i="1" l="1"/>
  <c r="J45" i="1" s="1"/>
  <c r="J49" i="1" l="1"/>
  <c r="J26" i="1" s="1"/>
  <c r="J31" i="1" s="1"/>
  <c r="J48" i="1" l="1"/>
  <c r="J46" i="1" l="1"/>
  <c r="K27" i="1" s="1"/>
  <c r="K45" i="1" l="1"/>
  <c r="K49" i="1" s="1"/>
  <c r="K48" i="1" l="1"/>
  <c r="K46" i="1" s="1"/>
  <c r="L45" i="1" s="1"/>
  <c r="L49" i="1" s="1"/>
  <c r="K26" i="1"/>
  <c r="K31" i="1" s="1"/>
  <c r="L48" i="1" l="1"/>
  <c r="L46" i="1" s="1"/>
  <c r="M45" i="1" s="1"/>
  <c r="M49" i="1" s="1"/>
  <c r="L26" i="1"/>
  <c r="L31" i="1" s="1"/>
  <c r="M48" i="1" l="1"/>
  <c r="M46" i="1" s="1"/>
  <c r="N45" i="1" s="1"/>
  <c r="N49" i="1" s="1"/>
  <c r="M26" i="1"/>
  <c r="M31" i="1" s="1"/>
  <c r="N48" i="1" l="1"/>
  <c r="N46" i="1" s="1"/>
  <c r="O45" i="1" s="1"/>
  <c r="O49" i="1" s="1"/>
  <c r="N26" i="1"/>
  <c r="N31" i="1" s="1"/>
  <c r="O48" i="1" l="1"/>
  <c r="O46" i="1" s="1"/>
  <c r="P45" i="1" s="1"/>
  <c r="P49" i="1" s="1"/>
  <c r="O26" i="1"/>
  <c r="O31" i="1" s="1"/>
  <c r="P48" i="1" l="1"/>
  <c r="P46" i="1" s="1"/>
  <c r="Q45" i="1" s="1"/>
  <c r="Q49" i="1" s="1"/>
  <c r="P26" i="1"/>
  <c r="P31" i="1" s="1"/>
  <c r="Q48" i="1" l="1"/>
  <c r="Q46" i="1" s="1"/>
  <c r="R45" i="1" s="1"/>
  <c r="R49" i="1" s="1"/>
  <c r="Q26" i="1"/>
  <c r="Q31" i="1" s="1"/>
  <c r="R48" i="1" l="1"/>
  <c r="R46" i="1" s="1"/>
  <c r="S27" i="1" s="1"/>
  <c r="S31" i="1" s="1"/>
  <c r="R26" i="1"/>
  <c r="R31" i="1" s="1"/>
  <c r="C32" i="1" l="1"/>
  <c r="C3" i="1" s="1"/>
</calcChain>
</file>

<file path=xl/sharedStrings.xml><?xml version="1.0" encoding="utf-8"?>
<sst xmlns="http://schemas.openxmlformats.org/spreadsheetml/2006/main" count="50" uniqueCount="47">
  <si>
    <t>Comprar</t>
  </si>
  <si>
    <t>Venta del apartamento</t>
  </si>
  <si>
    <t>Ahorro tributario</t>
  </si>
  <si>
    <t>Pago de la hipoteca</t>
  </si>
  <si>
    <t>Compra del apartamento</t>
  </si>
  <si>
    <t>Arrendar</t>
  </si>
  <si>
    <t>VPN</t>
  </si>
  <si>
    <t>Monto inicial</t>
  </si>
  <si>
    <t>Monto final</t>
  </si>
  <si>
    <t>Pago</t>
  </si>
  <si>
    <t>Costo Vivienda</t>
  </si>
  <si>
    <t>Costo de oportunidad</t>
  </si>
  <si>
    <t>Costo de vivienda y financiamiento</t>
  </si>
  <si>
    <t/>
  </si>
  <si>
    <t>% financiado con recursos propios</t>
  </si>
  <si>
    <t>Financiamiento con recursos propios</t>
  </si>
  <si>
    <t>% financiado con deuda</t>
  </si>
  <si>
    <t>Supuestos de Financiamiento</t>
  </si>
  <si>
    <t xml:space="preserve">Beneficio tributario </t>
  </si>
  <si>
    <t>Otros supuestos</t>
  </si>
  <si>
    <t>Supuestos Generales</t>
  </si>
  <si>
    <t>Supuestos arrendamiento</t>
  </si>
  <si>
    <t>Arrendamiento como % del valor</t>
  </si>
  <si>
    <t>Pago arrendamiento anual</t>
  </si>
  <si>
    <t>Incremento anual en arrendamiento</t>
  </si>
  <si>
    <t>Flujos de Caja</t>
  </si>
  <si>
    <t>Calculos de Soporte</t>
  </si>
  <si>
    <t>Tasa de interes hipoteca (Efectiva Anual)</t>
  </si>
  <si>
    <t>Flujo Total</t>
  </si>
  <si>
    <t>Resultado</t>
  </si>
  <si>
    <t>Valor inmueble al final del periodo</t>
  </si>
  <si>
    <t>Pago de arriendo</t>
  </si>
  <si>
    <t>Versión 1.1</t>
  </si>
  <si>
    <t>Financiamiento con deuda</t>
  </si>
  <si>
    <t>Año de venta del inmueble</t>
  </si>
  <si>
    <t>Vida del credito (años)</t>
  </si>
  <si>
    <t xml:space="preserve">Año </t>
  </si>
  <si>
    <t>PnL Finance - Análisis Comprar vs. Arrendar</t>
  </si>
  <si>
    <t xml:space="preserve">Pago por administración </t>
  </si>
  <si>
    <t>Administración  como % del valor</t>
  </si>
  <si>
    <t>Incremento en Administración</t>
  </si>
  <si>
    <t>Interés ganado sobre recursos propios</t>
  </si>
  <si>
    <t>Apreciación anual inmueble</t>
  </si>
  <si>
    <t xml:space="preserve">Administración </t>
  </si>
  <si>
    <t>Interés ganado</t>
  </si>
  <si>
    <t>Pago de principal</t>
  </si>
  <si>
    <t>Pago de 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</si>
</sst>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_);_(* \(#,##0\);_(* &quot;-&quot;?_);_(@_)"/>
    <numFmt numFmtId="167" formatCode="m/d/yy"/>
    <numFmt numFmtId="169" formatCode="0&quot;A&quot;"/>
    <numFmt numFmtId="170" formatCode="0&quot;B&quot;"/>
    <numFmt numFmtId="171" formatCode="#,##0;\(#,##0\);&quot;--&quot;"/>
    <numFmt numFmtId="172" formatCode="0.0%;\(0.0%\)"/>
    <numFmt numFmtId="173" formatCode="_ [$€-2]\ * #,##0.00_ ;_ [$€-2]\ * \-#,##0.00_ ;_ [$€-2]\ * &quot;-&quot;??_ "/>
    <numFmt numFmtId="174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Times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59"/>
      <name val="Arial"/>
      <family val="2"/>
    </font>
    <font>
      <sz val="10"/>
      <color indexed="23"/>
      <name val="Arial"/>
      <family val="2"/>
    </font>
    <font>
      <sz val="10"/>
      <color indexed="59"/>
      <name val="Arial"/>
      <family val="2"/>
    </font>
    <font>
      <b/>
      <sz val="20"/>
      <name val="Arial"/>
      <family val="2"/>
    </font>
    <font>
      <b/>
      <sz val="10"/>
      <color theme="1"/>
      <name val="Arial"/>
      <family val="2"/>
    </font>
    <font>
      <b/>
      <sz val="12"/>
      <color indexed="25"/>
      <name val="Arial"/>
      <family val="2"/>
    </font>
    <font>
      <sz val="12"/>
      <color indexed="25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1" applyNumberFormat="1" applyFont="1"/>
    <xf numFmtId="164" fontId="3" fillId="0" borderId="0" xfId="1" applyNumberFormat="1" applyFont="1"/>
    <xf numFmtId="9" fontId="3" fillId="0" borderId="0" xfId="0" applyNumberFormat="1" applyFont="1"/>
    <xf numFmtId="165" fontId="3" fillId="0" borderId="0" xfId="0" applyNumberFormat="1" applyFont="1"/>
    <xf numFmtId="164" fontId="0" fillId="0" borderId="0" xfId="0" applyNumberFormat="1"/>
    <xf numFmtId="0" fontId="0" fillId="0" borderId="1" xfId="0" applyBorder="1"/>
    <xf numFmtId="10" fontId="3" fillId="0" borderId="0" xfId="2" applyNumberFormat="1" applyFont="1"/>
    <xf numFmtId="164" fontId="4" fillId="0" borderId="0" xfId="1" applyNumberFormat="1" applyFont="1"/>
    <xf numFmtId="166" fontId="0" fillId="0" borderId="0" xfId="0" applyNumberFormat="1"/>
    <xf numFmtId="6" fontId="0" fillId="0" borderId="0" xfId="0" applyNumberFormat="1"/>
    <xf numFmtId="9" fontId="4" fillId="0" borderId="0" xfId="0" applyNumberFormat="1" applyFont="1"/>
    <xf numFmtId="0" fontId="0" fillId="0" borderId="0" xfId="0" applyBorder="1"/>
    <xf numFmtId="166" fontId="0" fillId="0" borderId="1" xfId="0" applyNumberFormat="1" applyBorder="1"/>
    <xf numFmtId="43" fontId="0" fillId="0" borderId="0" xfId="0" applyNumberFormat="1"/>
    <xf numFmtId="0" fontId="5" fillId="2" borderId="0" xfId="0" applyFont="1" applyFill="1"/>
    <xf numFmtId="0" fontId="6" fillId="0" borderId="2" xfId="0" applyFont="1" applyFill="1" applyBorder="1" applyAlignment="1">
      <alignment horizontal="centerContinuous"/>
    </xf>
    <xf numFmtId="0" fontId="6" fillId="0" borderId="0" xfId="0" quotePrefix="1" applyFont="1" applyFill="1" applyBorder="1" applyAlignment="1">
      <alignment horizontal="centerContinuous"/>
    </xf>
    <xf numFmtId="0" fontId="0" fillId="0" borderId="3" xfId="0" applyBorder="1"/>
    <xf numFmtId="9" fontId="4" fillId="0" borderId="3" xfId="0" applyNumberFormat="1" applyFont="1" applyBorder="1"/>
    <xf numFmtId="165" fontId="3" fillId="0" borderId="3" xfId="0" applyNumberFormat="1" applyFont="1" applyBorder="1"/>
    <xf numFmtId="10" fontId="3" fillId="0" borderId="3" xfId="2" applyNumberFormat="1" applyFont="1" applyBorder="1"/>
    <xf numFmtId="164" fontId="7" fillId="0" borderId="0" xfId="1" applyNumberFormat="1" applyFont="1"/>
    <xf numFmtId="0" fontId="8" fillId="0" borderId="4" xfId="0" applyFont="1" applyBorder="1"/>
    <xf numFmtId="0" fontId="9" fillId="0" borderId="5" xfId="0" applyFont="1" applyBorder="1" applyAlignment="1">
      <alignment horizontal="center"/>
    </xf>
    <xf numFmtId="0" fontId="2" fillId="0" borderId="2" xfId="0" applyFont="1" applyBorder="1"/>
    <xf numFmtId="167" fontId="2" fillId="0" borderId="2" xfId="0" applyNumberFormat="1" applyFont="1" applyBorder="1"/>
    <xf numFmtId="0" fontId="0" fillId="0" borderId="6" xfId="0" applyBorder="1"/>
    <xf numFmtId="164" fontId="0" fillId="0" borderId="7" xfId="1" applyNumberFormat="1" applyFon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Fill="1" applyBorder="1"/>
    <xf numFmtId="164" fontId="0" fillId="0" borderId="9" xfId="1" applyNumberFormat="1" applyFont="1" applyBorder="1"/>
    <xf numFmtId="0" fontId="2" fillId="0" borderId="2" xfId="0" applyNumberFormat="1" applyFont="1" applyBorder="1" applyAlignment="1">
      <alignment horizontal="center"/>
    </xf>
    <xf numFmtId="0" fontId="0" fillId="0" borderId="10" xfId="0" applyBorder="1"/>
    <xf numFmtId="164" fontId="0" fillId="0" borderId="10" xfId="1" applyNumberFormat="1" applyFont="1" applyBorder="1"/>
    <xf numFmtId="5" fontId="4" fillId="0" borderId="0" xfId="0" applyNumberFormat="1" applyFont="1"/>
    <xf numFmtId="0" fontId="11" fillId="0" borderId="0" xfId="3" applyFont="1"/>
    <xf numFmtId="0" fontId="11" fillId="0" borderId="0" xfId="3" applyFont="1" applyBorder="1"/>
    <xf numFmtId="169" fontId="12" fillId="0" borderId="0" xfId="3" applyNumberFormat="1" applyFont="1" applyBorder="1"/>
    <xf numFmtId="170" fontId="12" fillId="0" borderId="0" xfId="3" applyNumberFormat="1" applyFont="1" applyBorder="1"/>
    <xf numFmtId="3" fontId="11" fillId="0" borderId="0" xfId="3" applyNumberFormat="1" applyFont="1" applyBorder="1"/>
    <xf numFmtId="0" fontId="12" fillId="3" borderId="0" xfId="3" applyFont="1" applyFill="1" applyBorder="1"/>
    <xf numFmtId="171" fontId="13" fillId="3" borderId="0" xfId="3" applyNumberFormat="1" applyFont="1" applyFill="1" applyBorder="1"/>
    <xf numFmtId="0" fontId="14" fillId="0" borderId="0" xfId="3" applyFont="1" applyBorder="1"/>
    <xf numFmtId="3" fontId="14" fillId="0" borderId="0" xfId="3" applyNumberFormat="1" applyFont="1" applyBorder="1"/>
    <xf numFmtId="172" fontId="14" fillId="0" borderId="0" xfId="3" applyNumberFormat="1" applyFont="1" applyBorder="1"/>
    <xf numFmtId="171" fontId="15" fillId="0" borderId="0" xfId="3" applyNumberFormat="1" applyFont="1" applyBorder="1"/>
    <xf numFmtId="0" fontId="6" fillId="0" borderId="0" xfId="3" applyFont="1" applyBorder="1"/>
    <xf numFmtId="171" fontId="6" fillId="0" borderId="0" xfId="3" applyNumberFormat="1" applyFont="1" applyBorder="1"/>
    <xf numFmtId="0" fontId="16" fillId="0" borderId="0" xfId="3" applyFont="1" applyBorder="1" applyAlignment="1"/>
    <xf numFmtId="49" fontId="17" fillId="0" borderId="0" xfId="3" applyNumberFormat="1" applyFont="1" applyBorder="1"/>
    <xf numFmtId="49" fontId="12" fillId="0" borderId="0" xfId="3" applyNumberFormat="1" applyFont="1" applyBorder="1"/>
    <xf numFmtId="0" fontId="12" fillId="0" borderId="0" xfId="3" applyFont="1" applyBorder="1"/>
    <xf numFmtId="171" fontId="11" fillId="0" borderId="0" xfId="3" applyNumberFormat="1" applyFont="1" applyBorder="1"/>
    <xf numFmtId="171" fontId="13" fillId="0" borderId="0" xfId="3" applyNumberFormat="1" applyFont="1" applyBorder="1"/>
    <xf numFmtId="0" fontId="14" fillId="3" borderId="0" xfId="3" applyFont="1" applyFill="1" applyBorder="1"/>
    <xf numFmtId="3" fontId="14" fillId="3" borderId="0" xfId="3" applyNumberFormat="1" applyFont="1" applyFill="1" applyBorder="1"/>
    <xf numFmtId="172" fontId="14" fillId="3" borderId="0" xfId="3" applyNumberFormat="1" applyFont="1" applyFill="1" applyBorder="1"/>
    <xf numFmtId="0" fontId="18" fillId="0" borderId="0" xfId="3" applyFont="1"/>
    <xf numFmtId="0" fontId="19" fillId="0" borderId="0" xfId="3" applyFont="1" applyAlignment="1">
      <alignment horizontal="left" indent="1"/>
    </xf>
  </cellXfs>
  <cellStyles count="8">
    <cellStyle name="=C:\WINNT35\SYSTEM32\COMMAND.COM" xfId="3"/>
    <cellStyle name="Euro" xfId="4"/>
    <cellStyle name="Millares" xfId="1" builtinId="3"/>
    <cellStyle name="Millares 2" xfId="5"/>
    <cellStyle name="Normal" xfId="0" builtinId="0"/>
    <cellStyle name="Normal 2" xfId="6"/>
    <cellStyle name="Porcentaje" xfId="2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pnlfinance" TargetMode="External"/><Relationship Id="rId2" Type="http://schemas.openxmlformats.org/officeDocument/2006/relationships/hyperlink" Target="http://www.pnlfinance.com" TargetMode="External"/><Relationship Id="rId1" Type="http://schemas.openxmlformats.org/officeDocument/2006/relationships/hyperlink" Target="http://www.twitter.com/pnlfinance" TargetMode="External"/><Relationship Id="rId5" Type="http://schemas.openxmlformats.org/officeDocument/2006/relationships/image" Target="../media/image2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476813</xdr:colOff>
      <xdr:row>31</xdr:row>
      <xdr:rowOff>23200</xdr:rowOff>
    </xdr:from>
    <xdr:to>
      <xdr:col>14</xdr:col>
      <xdr:colOff>475430</xdr:colOff>
      <xdr:row>33</xdr:row>
      <xdr:rowOff>47632</xdr:rowOff>
    </xdr:to>
    <xdr:sp macro="" textlink="">
      <xdr:nvSpPr>
        <xdr:cNvPr id="2" name="11 CuadroTexto">
          <a:hlinkClick xmlns:r="http://schemas.openxmlformats.org/officeDocument/2006/relationships" r:id="rId1"/>
        </xdr:cNvPr>
        <xdr:cNvSpPr txBox="1"/>
      </xdr:nvSpPr>
      <xdr:spPr>
        <a:xfrm>
          <a:off x="6782363" y="5042875"/>
          <a:ext cx="1827417" cy="40543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>
              <a:solidFill>
                <a:schemeClr val="tx2"/>
              </a:solidFill>
            </a:rPr>
            <a:t>@PnLFinance</a:t>
          </a:r>
        </a:p>
      </xdr:txBody>
    </xdr:sp>
    <xdr:clientData/>
  </xdr:twoCellAnchor>
  <xdr:twoCellAnchor>
    <xdr:from>
      <xdr:col>6</xdr:col>
      <xdr:colOff>16888</xdr:colOff>
      <xdr:row>31</xdr:row>
      <xdr:rowOff>17758</xdr:rowOff>
    </xdr:from>
    <xdr:to>
      <xdr:col>10</xdr:col>
      <xdr:colOff>190500</xdr:colOff>
      <xdr:row>33</xdr:row>
      <xdr:rowOff>42190</xdr:rowOff>
    </xdr:to>
    <xdr:sp macro="" textlink="">
      <xdr:nvSpPr>
        <xdr:cNvPr id="3" name="10 CuadroTexto">
          <a:hlinkClick xmlns:r="http://schemas.openxmlformats.org/officeDocument/2006/relationships" r:id="rId2"/>
        </xdr:cNvPr>
        <xdr:cNvSpPr txBox="1"/>
      </xdr:nvSpPr>
      <xdr:spPr>
        <a:xfrm>
          <a:off x="3274438" y="5037433"/>
          <a:ext cx="2612012" cy="40543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>
              <a:solidFill>
                <a:schemeClr val="tx2"/>
              </a:solidFill>
            </a:rPr>
            <a:t>www.PnLFinance.com</a:t>
          </a:r>
        </a:p>
      </xdr:txBody>
    </xdr:sp>
    <xdr:clientData/>
  </xdr:twoCellAnchor>
  <xdr:twoCellAnchor>
    <xdr:from>
      <xdr:col>1</xdr:col>
      <xdr:colOff>25048</xdr:colOff>
      <xdr:row>31</xdr:row>
      <xdr:rowOff>17758</xdr:rowOff>
    </xdr:from>
    <xdr:to>
      <xdr:col>5</xdr:col>
      <xdr:colOff>173343</xdr:colOff>
      <xdr:row>33</xdr:row>
      <xdr:rowOff>42190</xdr:rowOff>
    </xdr:to>
    <xdr:sp macro="" textlink="">
      <xdr:nvSpPr>
        <xdr:cNvPr id="4" name="10 CuadroTexto"/>
        <xdr:cNvSpPr txBox="1"/>
      </xdr:nvSpPr>
      <xdr:spPr>
        <a:xfrm>
          <a:off x="234598" y="5037433"/>
          <a:ext cx="2586695" cy="40543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 b="1" u="sng">
              <a:solidFill>
                <a:schemeClr val="tx2"/>
              </a:solidFill>
            </a:rPr>
            <a:t>Encuéntranos en:</a:t>
          </a:r>
        </a:p>
      </xdr:txBody>
    </xdr:sp>
    <xdr:clientData/>
  </xdr:twoCellAnchor>
  <xdr:twoCellAnchor>
    <xdr:from>
      <xdr:col>1</xdr:col>
      <xdr:colOff>4616</xdr:colOff>
      <xdr:row>31</xdr:row>
      <xdr:rowOff>1294</xdr:rowOff>
    </xdr:from>
    <xdr:to>
      <xdr:col>16</xdr:col>
      <xdr:colOff>19050</xdr:colOff>
      <xdr:row>34</xdr:row>
      <xdr:rowOff>176826</xdr:rowOff>
    </xdr:to>
    <xdr:sp macro="" textlink="">
      <xdr:nvSpPr>
        <xdr:cNvPr id="5" name="Rectangle 7"/>
        <xdr:cNvSpPr/>
      </xdr:nvSpPr>
      <xdr:spPr>
        <a:xfrm>
          <a:off x="214166" y="5020969"/>
          <a:ext cx="9158434" cy="747032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352425</xdr:colOff>
      <xdr:row>32</xdr:row>
      <xdr:rowOff>180974</xdr:rowOff>
    </xdr:from>
    <xdr:to>
      <xdr:col>10</xdr:col>
      <xdr:colOff>522492</xdr:colOff>
      <xdr:row>34</xdr:row>
      <xdr:rowOff>161925</xdr:rowOff>
    </xdr:to>
    <xdr:sp macro="" textlink="">
      <xdr:nvSpPr>
        <xdr:cNvPr id="6" name="10 CuadroTexto">
          <a:hlinkClick xmlns:r="http://schemas.openxmlformats.org/officeDocument/2006/relationships" r:id="rId3"/>
        </xdr:cNvPr>
        <xdr:cNvSpPr txBox="1"/>
      </xdr:nvSpPr>
      <xdr:spPr>
        <a:xfrm>
          <a:off x="3609975" y="5391149"/>
          <a:ext cx="2608467" cy="36195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>
              <a:solidFill>
                <a:schemeClr val="tx2"/>
              </a:solidFill>
            </a:rPr>
            <a:t>Facebook.com/PnLFinance</a:t>
          </a:r>
        </a:p>
      </xdr:txBody>
    </xdr:sp>
    <xdr:clientData/>
  </xdr:twoCellAnchor>
  <xdr:twoCellAnchor>
    <xdr:from>
      <xdr:col>6</xdr:col>
      <xdr:colOff>104775</xdr:colOff>
      <xdr:row>33</xdr:row>
      <xdr:rowOff>66675</xdr:rowOff>
    </xdr:from>
    <xdr:to>
      <xdr:col>6</xdr:col>
      <xdr:colOff>339649</xdr:colOff>
      <xdr:row>34</xdr:row>
      <xdr:rowOff>120574</xdr:rowOff>
    </xdr:to>
    <xdr:pic>
      <xdr:nvPicPr>
        <xdr:cNvPr id="7" name="Picture 9" descr="https://encrypted-tbn1.gstatic.com/images?q=tbn:ANd9GcSY9wgFWSMGw2cuZPHKfMxLhrrSKTtyHzoqs0oQpz233UdiIkcp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5467350"/>
          <a:ext cx="234874" cy="24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180975</xdr:colOff>
      <xdr:row>31</xdr:row>
      <xdr:rowOff>38100</xdr:rowOff>
    </xdr:from>
    <xdr:to>
      <xdr:col>11</xdr:col>
      <xdr:colOff>501008</xdr:colOff>
      <xdr:row>32</xdr:row>
      <xdr:rowOff>167634</xdr:rowOff>
    </xdr:to>
    <xdr:pic>
      <xdr:nvPicPr>
        <xdr:cNvPr id="8" name="Picture 10" descr="https://encrypted-tbn0.gstatic.com/images?q=tbn:ANd9GcTfI322zpS3whyZb7SCOMGCiUzsY3fc58Asi837hS96XyU8DSe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5057775"/>
          <a:ext cx="320033" cy="320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200025</xdr:colOff>
      <xdr:row>1</xdr:row>
      <xdr:rowOff>160596</xdr:rowOff>
    </xdr:from>
    <xdr:to>
      <xdr:col>2</xdr:col>
      <xdr:colOff>391375</xdr:colOff>
      <xdr:row>6</xdr:row>
      <xdr:rowOff>23326</xdr:rowOff>
    </xdr:to>
    <xdr:sp macro="" textlink="">
      <xdr:nvSpPr>
        <xdr:cNvPr id="9" name="10 Rectángulo"/>
        <xdr:cNvSpPr/>
      </xdr:nvSpPr>
      <xdr:spPr>
        <a:xfrm>
          <a:off x="200025" y="322521"/>
          <a:ext cx="1010500" cy="672355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12245</xdr:colOff>
      <xdr:row>1</xdr:row>
      <xdr:rowOff>133350</xdr:rowOff>
    </xdr:from>
    <xdr:to>
      <xdr:col>6</xdr:col>
      <xdr:colOff>135557</xdr:colOff>
      <xdr:row>6</xdr:row>
      <xdr:rowOff>17556</xdr:rowOff>
    </xdr:to>
    <xdr:sp macro="" textlink="">
      <xdr:nvSpPr>
        <xdr:cNvPr id="10" name="1 Título"/>
        <xdr:cNvSpPr txBox="1">
          <a:spLocks/>
        </xdr:cNvSpPr>
      </xdr:nvSpPr>
      <xdr:spPr>
        <a:xfrm>
          <a:off x="221795" y="295275"/>
          <a:ext cx="3171312" cy="693831"/>
        </a:xfrm>
        <a:prstGeom prst="rect">
          <a:avLst/>
        </a:prstGeom>
      </xdr:spPr>
      <xdr:txBody>
        <a:bodyPr vert="horz" wrap="square" lIns="91440" tIns="45720" rIns="91440" bIns="45720" rtlCol="0" anchor="ctr"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4000" b="1">
              <a:solidFill>
                <a:schemeClr val="bg1"/>
              </a:solidFill>
              <a:latin typeface="Century Gothic" pitchFamily="34" charset="0"/>
            </a:rPr>
            <a:t>PnL </a:t>
          </a:r>
          <a:r>
            <a:rPr lang="es-ES" sz="4000">
              <a:solidFill>
                <a:schemeClr val="tx2"/>
              </a:solidFill>
              <a:latin typeface="Century Gothic" pitchFamily="34" charset="0"/>
            </a:rPr>
            <a:t>Finance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tabSelected="1" zoomScaleNormal="100" workbookViewId="0">
      <selection activeCell="D24" sqref="D24"/>
    </sheetView>
  </sheetViews>
  <sheetFormatPr baseColWidth="10" defaultColWidth="0" defaultRowHeight="12.75" customHeight="1" zeroHeight="1" x14ac:dyDescent="0.2"/>
  <cols>
    <col min="1" max="1" width="3.140625" style="37" customWidth="1"/>
    <col min="2" max="16" width="9.140625" style="37" customWidth="1"/>
    <col min="17" max="17" width="2.42578125" style="37" customWidth="1"/>
    <col min="18" max="16384" width="9.140625" style="37" hidden="1"/>
  </cols>
  <sheetData>
    <row r="1" spans="2:16" x14ac:dyDescent="0.2"/>
    <row r="2" spans="2:16" x14ac:dyDescent="0.2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16" x14ac:dyDescent="0.2">
      <c r="B3" s="38"/>
      <c r="C3" s="38"/>
      <c r="D3" s="38"/>
      <c r="E3" s="38"/>
      <c r="F3" s="39"/>
      <c r="G3" s="39"/>
      <c r="H3" s="39"/>
      <c r="I3" s="40"/>
      <c r="J3" s="40"/>
      <c r="K3" s="40"/>
      <c r="L3" s="40"/>
      <c r="M3" s="40"/>
      <c r="N3" s="40"/>
      <c r="O3" s="38"/>
      <c r="P3" s="38"/>
    </row>
    <row r="4" spans="2:16" x14ac:dyDescent="0.2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x14ac:dyDescent="0.2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2:16" x14ac:dyDescent="0.2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2:16" x14ac:dyDescent="0.2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2:16" x14ac:dyDescent="0.2">
      <c r="B8" s="38"/>
      <c r="C8" s="38"/>
      <c r="D8" s="38"/>
      <c r="E8" s="38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x14ac:dyDescent="0.2">
      <c r="B9" s="42"/>
      <c r="C9" s="42"/>
      <c r="D9" s="42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2:16" x14ac:dyDescent="0.2">
      <c r="B10" s="44"/>
      <c r="C10" s="44"/>
      <c r="D10" s="44"/>
      <c r="E10" s="44"/>
      <c r="F10" s="45"/>
      <c r="G10" s="46"/>
      <c r="H10" s="46"/>
      <c r="I10" s="46"/>
      <c r="J10" s="46"/>
      <c r="K10" s="46"/>
      <c r="L10" s="46"/>
      <c r="M10" s="46"/>
      <c r="N10" s="46"/>
      <c r="O10" s="44"/>
      <c r="P10" s="44"/>
    </row>
    <row r="11" spans="2:16" x14ac:dyDescent="0.2">
      <c r="B11" s="38"/>
      <c r="C11" s="38"/>
      <c r="D11" s="38"/>
      <c r="E11" s="38"/>
      <c r="F11" s="47"/>
      <c r="G11" s="47"/>
      <c r="H11" s="47"/>
      <c r="I11" s="47"/>
      <c r="J11" s="47"/>
      <c r="K11" s="47"/>
      <c r="L11" s="47"/>
      <c r="M11" s="47"/>
      <c r="N11" s="47"/>
      <c r="O11" s="38"/>
      <c r="P11" s="38"/>
    </row>
    <row r="12" spans="2:16" x14ac:dyDescent="0.2">
      <c r="B12" s="38"/>
      <c r="C12" s="38"/>
      <c r="D12" s="38"/>
      <c r="E12" s="38"/>
      <c r="F12" s="41"/>
      <c r="G12" s="41"/>
      <c r="H12" s="41"/>
      <c r="I12" s="41"/>
      <c r="J12" s="41"/>
      <c r="K12" s="41"/>
      <c r="L12" s="41"/>
      <c r="M12" s="41"/>
      <c r="N12" s="41"/>
      <c r="O12" s="38"/>
      <c r="P12" s="38"/>
    </row>
    <row r="13" spans="2:16" x14ac:dyDescent="0.2">
      <c r="B13" s="38"/>
      <c r="C13" s="38"/>
      <c r="D13" s="38"/>
      <c r="E13" s="38"/>
      <c r="F13" s="41"/>
      <c r="G13" s="41"/>
      <c r="H13" s="41"/>
      <c r="I13" s="41"/>
      <c r="J13" s="41"/>
      <c r="K13" s="41"/>
      <c r="L13" s="41"/>
      <c r="M13" s="41"/>
      <c r="N13" s="41"/>
      <c r="O13" s="38"/>
      <c r="P13" s="38"/>
    </row>
    <row r="14" spans="2:16" x14ac:dyDescent="0.2">
      <c r="B14" s="38"/>
      <c r="C14" s="38"/>
      <c r="D14" s="38"/>
      <c r="E14" s="38"/>
      <c r="F14" s="41"/>
      <c r="G14" s="41"/>
      <c r="H14" s="41"/>
      <c r="I14" s="41"/>
      <c r="J14" s="41"/>
      <c r="K14" s="41"/>
      <c r="L14" s="41"/>
      <c r="M14" s="41"/>
      <c r="N14" s="41"/>
      <c r="O14" s="38"/>
      <c r="P14" s="38"/>
    </row>
    <row r="15" spans="2:16" x14ac:dyDescent="0.2">
      <c r="B15" s="38"/>
      <c r="C15" s="38"/>
      <c r="D15" s="38"/>
      <c r="E15" s="38"/>
      <c r="F15" s="41"/>
      <c r="G15" s="41"/>
      <c r="H15" s="41"/>
      <c r="I15" s="41"/>
      <c r="J15" s="41"/>
      <c r="K15" s="41"/>
      <c r="L15" s="41"/>
      <c r="M15" s="41"/>
      <c r="N15" s="41"/>
      <c r="O15" s="38"/>
      <c r="P15" s="38"/>
    </row>
    <row r="16" spans="2:16" x14ac:dyDescent="0.2">
      <c r="B16" s="38"/>
      <c r="C16" s="38"/>
      <c r="D16" s="38"/>
      <c r="E16" s="38"/>
      <c r="F16" s="41"/>
      <c r="G16" s="41"/>
      <c r="H16" s="41"/>
      <c r="I16" s="41"/>
      <c r="J16" s="41"/>
      <c r="K16" s="41"/>
      <c r="L16" s="41"/>
      <c r="M16" s="41"/>
      <c r="N16" s="41"/>
      <c r="O16" s="38"/>
      <c r="P16" s="38"/>
    </row>
    <row r="17" spans="2:16" x14ac:dyDescent="0.2">
      <c r="B17" s="48"/>
      <c r="C17" s="48"/>
      <c r="D17" s="48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2:16" x14ac:dyDescent="0.2">
      <c r="B18" s="50" t="s">
        <v>37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2:16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2:16" x14ac:dyDescent="0.2">
      <c r="B20" s="38"/>
      <c r="C20" s="38"/>
      <c r="D20" s="38"/>
      <c r="E20" s="38"/>
      <c r="F20" s="41"/>
      <c r="G20" s="41"/>
      <c r="H20" s="41"/>
      <c r="I20" s="41"/>
      <c r="J20" s="41"/>
      <c r="K20" s="41"/>
      <c r="L20" s="41"/>
      <c r="M20" s="41"/>
      <c r="N20" s="41"/>
      <c r="O20" s="38"/>
      <c r="P20" s="38"/>
    </row>
    <row r="21" spans="2:16" x14ac:dyDescent="0.2">
      <c r="B21" s="51" t="s">
        <v>32</v>
      </c>
      <c r="C21" s="52"/>
      <c r="D21" s="38"/>
      <c r="E21" s="38"/>
      <c r="F21" s="47"/>
      <c r="G21" s="47"/>
      <c r="H21" s="47"/>
      <c r="I21" s="47"/>
      <c r="J21" s="47"/>
      <c r="K21" s="47"/>
      <c r="L21" s="47"/>
      <c r="M21" s="47"/>
      <c r="N21" s="47"/>
      <c r="O21" s="38"/>
      <c r="P21" s="38"/>
    </row>
    <row r="22" spans="2:16" x14ac:dyDescent="0.2">
      <c r="B22" s="53"/>
      <c r="C22" s="53"/>
      <c r="D22" s="38"/>
      <c r="E22" s="38"/>
      <c r="F22" s="47"/>
      <c r="G22" s="47"/>
      <c r="H22" s="47"/>
      <c r="I22" s="47"/>
      <c r="J22" s="47"/>
      <c r="K22" s="47"/>
      <c r="L22" s="47"/>
      <c r="M22" s="38"/>
      <c r="N22" s="38"/>
      <c r="O22" s="38"/>
      <c r="P22" s="38"/>
    </row>
    <row r="23" spans="2:16" x14ac:dyDescent="0.2">
      <c r="B23" s="53"/>
      <c r="C23" s="53"/>
      <c r="D23" s="38"/>
      <c r="E23" s="38"/>
      <c r="F23" s="47"/>
      <c r="G23" s="47"/>
      <c r="H23" s="47"/>
      <c r="I23" s="47"/>
      <c r="J23" s="47"/>
      <c r="K23" s="47"/>
      <c r="L23" s="47"/>
      <c r="M23" s="38"/>
      <c r="N23" s="38"/>
      <c r="O23" s="38"/>
      <c r="P23" s="38"/>
    </row>
    <row r="24" spans="2:16" x14ac:dyDescent="0.2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2:16" x14ac:dyDescent="0.2">
      <c r="B25" s="44"/>
      <c r="C25" s="44"/>
      <c r="D25" s="44"/>
      <c r="E25" s="44"/>
      <c r="F25" s="45"/>
      <c r="G25" s="46"/>
      <c r="H25" s="46"/>
      <c r="I25" s="46"/>
      <c r="J25" s="46"/>
      <c r="K25" s="46"/>
      <c r="L25" s="46"/>
      <c r="M25" s="46"/>
      <c r="N25" s="44"/>
      <c r="O25" s="44"/>
      <c r="P25" s="44"/>
    </row>
    <row r="26" spans="2:16" x14ac:dyDescent="0.2">
      <c r="B26" s="44"/>
      <c r="C26" s="44"/>
      <c r="D26" s="44"/>
      <c r="E26" s="44"/>
      <c r="F26" s="46"/>
      <c r="G26" s="46"/>
      <c r="H26" s="46"/>
      <c r="I26" s="46"/>
      <c r="J26" s="46"/>
      <c r="K26" s="46"/>
      <c r="L26" s="46"/>
      <c r="M26" s="46"/>
      <c r="N26" s="44"/>
      <c r="O26" s="44"/>
      <c r="P26" s="44"/>
    </row>
    <row r="27" spans="2:16" x14ac:dyDescent="0.2">
      <c r="B27" s="44"/>
      <c r="C27" s="4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6" x14ac:dyDescent="0.2">
      <c r="B28" s="38"/>
      <c r="C28" s="38"/>
      <c r="D28" s="38"/>
      <c r="E28" s="38"/>
      <c r="F28" s="54"/>
      <c r="G28" s="54"/>
      <c r="H28" s="54"/>
      <c r="I28" s="54"/>
      <c r="J28" s="38"/>
      <c r="K28" s="38"/>
      <c r="L28" s="38"/>
      <c r="M28" s="38"/>
      <c r="N28" s="38"/>
      <c r="O28" s="38"/>
      <c r="P28" s="38"/>
    </row>
    <row r="29" spans="2:16" x14ac:dyDescent="0.2">
      <c r="B29" s="53"/>
      <c r="C29" s="53"/>
      <c r="D29" s="53"/>
      <c r="E29" s="53"/>
      <c r="F29" s="49"/>
      <c r="G29" s="49"/>
      <c r="H29" s="49"/>
      <c r="I29" s="49"/>
      <c r="J29" s="49"/>
      <c r="K29" s="49"/>
      <c r="L29" s="49"/>
      <c r="M29" s="49"/>
      <c r="N29" s="49"/>
      <c r="O29" s="55"/>
      <c r="P29" s="55"/>
    </row>
    <row r="30" spans="2:16" x14ac:dyDescent="0.2">
      <c r="B30" s="56"/>
      <c r="C30" s="56"/>
      <c r="D30" s="56"/>
      <c r="E30" s="56"/>
      <c r="F30" s="57"/>
      <c r="G30" s="58"/>
      <c r="H30" s="58"/>
      <c r="I30" s="58"/>
      <c r="J30" s="58"/>
      <c r="K30" s="58"/>
      <c r="L30" s="58"/>
      <c r="M30" s="58"/>
      <c r="N30" s="58"/>
      <c r="O30" s="56"/>
      <c r="P30" s="56"/>
    </row>
    <row r="31" spans="2:16" x14ac:dyDescent="0.2"/>
    <row r="32" spans="2:16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x14ac:dyDescent="0.2"/>
    <row r="37" spans="2:7" ht="15.75" hidden="1" x14ac:dyDescent="0.25">
      <c r="B37" s="59"/>
    </row>
    <row r="38" spans="2:7" ht="15" hidden="1" x14ac:dyDescent="0.2">
      <c r="B38" s="60"/>
    </row>
    <row r="39" spans="2:7" ht="15" hidden="1" x14ac:dyDescent="0.2">
      <c r="B39" s="60"/>
    </row>
    <row r="40" spans="2:7" ht="15" hidden="1" x14ac:dyDescent="0.2">
      <c r="B40" s="60"/>
    </row>
    <row r="41" spans="2:7" hidden="1" x14ac:dyDescent="0.2"/>
    <row r="42" spans="2:7" hidden="1" x14ac:dyDescent="0.2"/>
    <row r="43" spans="2:7" hidden="1" x14ac:dyDescent="0.2"/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</sheetData>
  <mergeCells count="1">
    <mergeCell ref="B18:P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showGridLines="0" workbookViewId="0">
      <selection activeCell="B32" sqref="B32"/>
    </sheetView>
  </sheetViews>
  <sheetFormatPr baseColWidth="10" defaultColWidth="0" defaultRowHeight="15" zeroHeight="1" x14ac:dyDescent="0.25"/>
  <cols>
    <col min="1" max="1" width="4.28515625" customWidth="1"/>
    <col min="2" max="2" width="38.5703125" customWidth="1"/>
    <col min="3" max="3" width="11.5703125" bestFit="1" customWidth="1"/>
    <col min="4" max="6" width="10.140625" customWidth="1"/>
    <col min="7" max="7" width="12.7109375" customWidth="1"/>
    <col min="8" max="9" width="10.140625" customWidth="1"/>
    <col min="10" max="10" width="9.85546875" customWidth="1"/>
    <col min="11" max="11" width="9" bestFit="1" customWidth="1"/>
    <col min="12" max="20" width="11.42578125" customWidth="1"/>
    <col min="34" max="16384" width="11.42578125" hidden="1"/>
  </cols>
  <sheetData>
    <row r="1" spans="1:10" x14ac:dyDescent="0.25"/>
    <row r="2" spans="1:10" ht="18.75" x14ac:dyDescent="0.3">
      <c r="A2" s="15" t="s">
        <v>29</v>
      </c>
    </row>
    <row r="3" spans="1:10" ht="18.75" x14ac:dyDescent="0.3">
      <c r="B3" s="23" t="str">
        <f>"Con los supuestos planteados es mejor "</f>
        <v xml:space="preserve">Con los supuestos planteados es mejor </v>
      </c>
      <c r="C3" s="24" t="str">
        <f>IF(C32&lt;C39,"Arrendar", "Comprar")</f>
        <v>Arrendar</v>
      </c>
    </row>
    <row r="4" spans="1:10" x14ac:dyDescent="0.25"/>
    <row r="5" spans="1:10" ht="18.75" x14ac:dyDescent="0.3">
      <c r="A5" s="15" t="s">
        <v>20</v>
      </c>
    </row>
    <row r="6" spans="1:10" ht="15.75" thickBot="1" x14ac:dyDescent="0.3"/>
    <row r="7" spans="1:10" x14ac:dyDescent="0.25">
      <c r="B7" s="16" t="s">
        <v>12</v>
      </c>
      <c r="C7" s="16"/>
      <c r="D7" s="17" t="s">
        <v>13</v>
      </c>
      <c r="E7" s="16" t="s">
        <v>21</v>
      </c>
      <c r="F7" s="16"/>
      <c r="G7" s="16"/>
      <c r="H7" s="16"/>
    </row>
    <row r="8" spans="1:10" x14ac:dyDescent="0.25">
      <c r="B8" t="s">
        <v>10</v>
      </c>
      <c r="C8" s="2">
        <v>200000</v>
      </c>
      <c r="E8" t="s">
        <v>24</v>
      </c>
      <c r="H8" s="7">
        <v>3.5000000000000003E-2</v>
      </c>
      <c r="J8" s="14"/>
    </row>
    <row r="9" spans="1:10" ht="8.25" customHeight="1" x14ac:dyDescent="0.25">
      <c r="C9" s="2"/>
    </row>
    <row r="10" spans="1:10" x14ac:dyDescent="0.25">
      <c r="B10" t="s">
        <v>15</v>
      </c>
      <c r="C10" s="1">
        <f>C8*C11</f>
        <v>100000</v>
      </c>
      <c r="E10" t="s">
        <v>23</v>
      </c>
      <c r="H10" s="8">
        <f>H11*C8</f>
        <v>11000</v>
      </c>
      <c r="I10" s="3"/>
    </row>
    <row r="11" spans="1:10" x14ac:dyDescent="0.25">
      <c r="B11" t="s">
        <v>14</v>
      </c>
      <c r="C11" s="3">
        <v>0.5</v>
      </c>
      <c r="D11" s="3"/>
      <c r="E11" t="s">
        <v>22</v>
      </c>
      <c r="H11" s="7">
        <v>5.5E-2</v>
      </c>
      <c r="I11" s="3"/>
      <c r="J11" s="14"/>
    </row>
    <row r="12" spans="1:10" ht="8.25" customHeight="1" x14ac:dyDescent="0.25">
      <c r="C12" s="1"/>
      <c r="D12" s="3"/>
      <c r="H12" s="1"/>
    </row>
    <row r="13" spans="1:10" x14ac:dyDescent="0.25">
      <c r="B13" t="s">
        <v>33</v>
      </c>
      <c r="C13" s="1">
        <f>C8*C14</f>
        <v>100000</v>
      </c>
      <c r="E13" t="s">
        <v>38</v>
      </c>
      <c r="H13" s="8">
        <f>H14*C8</f>
        <v>6600</v>
      </c>
      <c r="I13" s="7"/>
    </row>
    <row r="14" spans="1:10" x14ac:dyDescent="0.25">
      <c r="B14" s="18" t="s">
        <v>16</v>
      </c>
      <c r="C14" s="19">
        <f>1-C11</f>
        <v>0.5</v>
      </c>
      <c r="D14" s="11"/>
      <c r="E14" t="s">
        <v>39</v>
      </c>
      <c r="H14" s="7">
        <v>3.3000000000000002E-2</v>
      </c>
    </row>
    <row r="15" spans="1:10" x14ac:dyDescent="0.25">
      <c r="C15" s="1"/>
      <c r="D15" s="11"/>
      <c r="E15" s="18" t="s">
        <v>40</v>
      </c>
      <c r="F15" s="18"/>
      <c r="G15" s="18"/>
      <c r="H15" s="21">
        <v>3.5000000000000003E-2</v>
      </c>
    </row>
    <row r="16" spans="1:10" ht="15.75" thickBot="1" x14ac:dyDescent="0.3">
      <c r="C16" s="1"/>
      <c r="D16" s="3"/>
    </row>
    <row r="17" spans="1:19" x14ac:dyDescent="0.25">
      <c r="B17" s="16" t="s">
        <v>17</v>
      </c>
      <c r="C17" s="16"/>
      <c r="E17" s="16" t="s">
        <v>19</v>
      </c>
      <c r="F17" s="16"/>
      <c r="G17" s="16"/>
      <c r="H17" s="16"/>
    </row>
    <row r="18" spans="1:19" x14ac:dyDescent="0.25">
      <c r="B18" t="s">
        <v>35</v>
      </c>
      <c r="C18" s="2">
        <v>15</v>
      </c>
      <c r="E18" t="s">
        <v>41</v>
      </c>
      <c r="H18" s="4">
        <v>0.04</v>
      </c>
      <c r="J18" s="1"/>
    </row>
    <row r="19" spans="1:19" x14ac:dyDescent="0.25">
      <c r="B19" t="s">
        <v>27</v>
      </c>
      <c r="C19" s="4">
        <v>0.11</v>
      </c>
      <c r="E19" t="s">
        <v>42</v>
      </c>
      <c r="H19" s="4">
        <v>2.5000000000000001E-2</v>
      </c>
      <c r="J19" s="5"/>
    </row>
    <row r="20" spans="1:19" x14ac:dyDescent="0.25">
      <c r="B20" s="18" t="s">
        <v>18</v>
      </c>
      <c r="C20" s="20">
        <v>0.35</v>
      </c>
      <c r="E20" t="s">
        <v>34</v>
      </c>
      <c r="H20" s="2">
        <v>7</v>
      </c>
    </row>
    <row r="21" spans="1:19" x14ac:dyDescent="0.25">
      <c r="E21" s="18" t="s">
        <v>11</v>
      </c>
      <c r="F21" s="18"/>
      <c r="G21" s="18"/>
      <c r="H21" s="20">
        <v>0.04</v>
      </c>
    </row>
    <row r="22" spans="1:19" x14ac:dyDescent="0.25"/>
    <row r="23" spans="1:19" ht="18.75" x14ac:dyDescent="0.3">
      <c r="A23" s="15" t="s">
        <v>25</v>
      </c>
    </row>
    <row r="24" spans="1:19" ht="15.75" thickBot="1" x14ac:dyDescent="0.3"/>
    <row r="25" spans="1:19" x14ac:dyDescent="0.25">
      <c r="A25" s="12"/>
      <c r="B25" s="25" t="s">
        <v>0</v>
      </c>
      <c r="C25" s="26">
        <v>73415</v>
      </c>
      <c r="D25" s="26">
        <f>DATE(YEAR(C25)+1,MONTH(C25)-6,DAY(C25)-1)</f>
        <v>73596</v>
      </c>
      <c r="E25" s="26">
        <f>IF(2100+$H$20=YEAR(D25),DATE(YEAR(D25),MONTH(D25)+6,DAY(D25)+1),DATE(YEAR(D25)+1,MONTH(D25),DAY(D25)))</f>
        <v>73961</v>
      </c>
      <c r="F25" s="26">
        <f t="shared" ref="F25:R25" si="0">IF(2100+$H$20=YEAR(E25),DATE(YEAR(E25),MONTH(E25)+6,DAY(E25)+1),DATE(YEAR(E25)+1,MONTH(E25),DAY(E25)))</f>
        <v>74326</v>
      </c>
      <c r="G25" s="26">
        <f t="shared" si="0"/>
        <v>74692</v>
      </c>
      <c r="H25" s="26">
        <f t="shared" si="0"/>
        <v>75057</v>
      </c>
      <c r="I25" s="26">
        <f t="shared" si="0"/>
        <v>75422</v>
      </c>
      <c r="J25" s="26">
        <f t="shared" si="0"/>
        <v>75787</v>
      </c>
      <c r="K25" s="26">
        <f t="shared" si="0"/>
        <v>75971</v>
      </c>
      <c r="L25" s="26">
        <f t="shared" si="0"/>
        <v>76155</v>
      </c>
      <c r="M25" s="26">
        <f t="shared" si="0"/>
        <v>76520</v>
      </c>
      <c r="N25" s="26">
        <f t="shared" si="0"/>
        <v>76885</v>
      </c>
      <c r="O25" s="26">
        <f t="shared" si="0"/>
        <v>77250</v>
      </c>
      <c r="P25" s="26">
        <f t="shared" si="0"/>
        <v>77616</v>
      </c>
      <c r="Q25" s="26">
        <f t="shared" si="0"/>
        <v>77981</v>
      </c>
      <c r="R25" s="26">
        <f t="shared" si="0"/>
        <v>78346</v>
      </c>
      <c r="S25" s="26">
        <f t="shared" ref="S25" si="1">IF(2100+$H$20=YEAR(R25),DATE(YEAR(R25),MONTH(R25)+6,DAY(R25)+1),DATE(YEAR(R25)+1,MONTH(R25),DAY(R25)))</f>
        <v>78711</v>
      </c>
    </row>
    <row r="26" spans="1:19" x14ac:dyDescent="0.25">
      <c r="A26" s="12"/>
      <c r="B26" t="s">
        <v>2</v>
      </c>
      <c r="C26" s="1">
        <f>-$C$20*C28</f>
        <v>0</v>
      </c>
      <c r="D26" s="1">
        <f t="shared" ref="D26:S26" si="2">IF(D28&lt;0,-$C$20*D49,0)</f>
        <v>3849.9999999999995</v>
      </c>
      <c r="E26" s="1">
        <f t="shared" si="2"/>
        <v>3738.0988278107761</v>
      </c>
      <c r="F26" s="1">
        <f t="shared" si="2"/>
        <v>3613.8885266807379</v>
      </c>
      <c r="G26" s="1">
        <f t="shared" si="2"/>
        <v>3476.0150924263962</v>
      </c>
      <c r="H26" s="1">
        <f t="shared" si="2"/>
        <v>3322.975580404076</v>
      </c>
      <c r="I26" s="1">
        <f t="shared" si="2"/>
        <v>3153.1017220593012</v>
      </c>
      <c r="J26" s="1">
        <f t="shared" si="2"/>
        <v>2964.541739296601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 t="shared" si="2"/>
        <v>0</v>
      </c>
      <c r="P26" s="1">
        <f t="shared" si="2"/>
        <v>0</v>
      </c>
      <c r="Q26" s="1">
        <f t="shared" si="2"/>
        <v>0</v>
      </c>
      <c r="R26" s="1">
        <f t="shared" si="2"/>
        <v>0</v>
      </c>
      <c r="S26" s="1">
        <f t="shared" si="2"/>
        <v>0</v>
      </c>
    </row>
    <row r="27" spans="1:19" x14ac:dyDescent="0.25">
      <c r="A27" s="12"/>
      <c r="B27" t="s">
        <v>1</v>
      </c>
      <c r="D27" s="1">
        <f t="shared" ref="D27:S27" si="3">IF(MONTH(D25)=12,C53-C46,0)</f>
        <v>0</v>
      </c>
      <c r="E27" s="1">
        <f t="shared" si="3"/>
        <v>0</v>
      </c>
      <c r="F27" s="1">
        <f t="shared" si="3"/>
        <v>0</v>
      </c>
      <c r="G27" s="1">
        <f t="shared" si="3"/>
        <v>0</v>
      </c>
      <c r="H27" s="1">
        <f t="shared" si="3"/>
        <v>0</v>
      </c>
      <c r="I27" s="1">
        <f t="shared" si="3"/>
        <v>0</v>
      </c>
      <c r="J27" s="1">
        <f t="shared" si="3"/>
        <v>0</v>
      </c>
      <c r="K27" s="1">
        <f t="shared" si="3"/>
        <v>166172.47129390202</v>
      </c>
      <c r="L27" s="1">
        <f t="shared" si="3"/>
        <v>0</v>
      </c>
      <c r="M27" s="1">
        <f t="shared" si="3"/>
        <v>0</v>
      </c>
      <c r="N27" s="1">
        <f t="shared" si="3"/>
        <v>0</v>
      </c>
      <c r="O27" s="1">
        <f t="shared" si="3"/>
        <v>0</v>
      </c>
      <c r="P27" s="1">
        <f t="shared" si="3"/>
        <v>0</v>
      </c>
      <c r="Q27" s="1">
        <f t="shared" si="3"/>
        <v>0</v>
      </c>
      <c r="R27" s="1">
        <f t="shared" si="3"/>
        <v>0</v>
      </c>
      <c r="S27" s="1">
        <f t="shared" si="3"/>
        <v>0</v>
      </c>
    </row>
    <row r="28" spans="1:19" x14ac:dyDescent="0.25">
      <c r="A28" s="12"/>
      <c r="B28" t="s">
        <v>3</v>
      </c>
      <c r="D28" s="9">
        <f t="shared" ref="D28:S28" si="4">IF(MONTH(D25)=6,D47,0)</f>
        <v>-13906.523952966845</v>
      </c>
      <c r="E28" s="9">
        <f t="shared" si="4"/>
        <v>-13906.523952966845</v>
      </c>
      <c r="F28" s="9">
        <f t="shared" si="4"/>
        <v>-13906.523952966845</v>
      </c>
      <c r="G28" s="9">
        <f t="shared" si="4"/>
        <v>-13906.523952966845</v>
      </c>
      <c r="H28" s="9">
        <f t="shared" si="4"/>
        <v>-13906.523952966845</v>
      </c>
      <c r="I28" s="9">
        <f t="shared" si="4"/>
        <v>-13906.523952966845</v>
      </c>
      <c r="J28" s="9">
        <f t="shared" si="4"/>
        <v>-13906.523952966845</v>
      </c>
      <c r="K28" s="9">
        <f t="shared" si="4"/>
        <v>0</v>
      </c>
      <c r="L28" s="9">
        <f t="shared" si="4"/>
        <v>0</v>
      </c>
      <c r="M28" s="9">
        <f t="shared" si="4"/>
        <v>0</v>
      </c>
      <c r="N28" s="9">
        <f t="shared" si="4"/>
        <v>0</v>
      </c>
      <c r="O28" s="9">
        <f t="shared" si="4"/>
        <v>0</v>
      </c>
      <c r="P28" s="9">
        <f t="shared" si="4"/>
        <v>0</v>
      </c>
      <c r="Q28" s="9">
        <f t="shared" si="4"/>
        <v>0</v>
      </c>
      <c r="R28" s="9">
        <f t="shared" si="4"/>
        <v>0</v>
      </c>
      <c r="S28" s="9">
        <f t="shared" si="4"/>
        <v>0</v>
      </c>
    </row>
    <row r="29" spans="1:19" x14ac:dyDescent="0.25">
      <c r="A29" s="12"/>
      <c r="B29" t="s">
        <v>43</v>
      </c>
      <c r="D29" s="5">
        <f>-$H$13</f>
        <v>-6600</v>
      </c>
      <c r="E29" s="5">
        <f>IF(MONTH(E25)=6,D29*(1+$H$15),0)</f>
        <v>-6830.9999999999991</v>
      </c>
      <c r="F29" s="5">
        <f t="shared" ref="F29:R29" si="5">IF(MONTH(F25)=6,E29*(1+$H$15),0)</f>
        <v>-7070.0849999999982</v>
      </c>
      <c r="G29" s="5">
        <f t="shared" si="5"/>
        <v>-7317.5379749999975</v>
      </c>
      <c r="H29" s="5">
        <f t="shared" si="5"/>
        <v>-7573.6518041249965</v>
      </c>
      <c r="I29" s="5">
        <f t="shared" si="5"/>
        <v>-7838.7296172693705</v>
      </c>
      <c r="J29" s="5">
        <f t="shared" si="5"/>
        <v>-8113.0851538737979</v>
      </c>
      <c r="K29" s="5">
        <f t="shared" si="5"/>
        <v>0</v>
      </c>
      <c r="L29" s="5">
        <f t="shared" si="5"/>
        <v>0</v>
      </c>
      <c r="M29" s="5">
        <f t="shared" si="5"/>
        <v>0</v>
      </c>
      <c r="N29" s="5">
        <f t="shared" si="5"/>
        <v>0</v>
      </c>
      <c r="O29" s="5">
        <f t="shared" si="5"/>
        <v>0</v>
      </c>
      <c r="P29" s="5">
        <f t="shared" si="5"/>
        <v>0</v>
      </c>
      <c r="Q29" s="5">
        <f t="shared" si="5"/>
        <v>0</v>
      </c>
      <c r="R29" s="5">
        <f t="shared" si="5"/>
        <v>0</v>
      </c>
      <c r="S29" s="5">
        <f t="shared" ref="S29" si="6">IF(MONTH(S25)=6,R29*(1+$H$15),0)</f>
        <v>0</v>
      </c>
    </row>
    <row r="30" spans="1:19" x14ac:dyDescent="0.25">
      <c r="A30" s="12"/>
      <c r="B30" s="29" t="s">
        <v>4</v>
      </c>
      <c r="C30" s="30">
        <f>-C10</f>
        <v>-100000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5.75" thickBot="1" x14ac:dyDescent="0.3">
      <c r="A31" s="12"/>
      <c r="B31" s="31" t="s">
        <v>28</v>
      </c>
      <c r="C31" s="32">
        <f>SUM(C26:C30)</f>
        <v>-100000</v>
      </c>
      <c r="D31" s="32">
        <f>SUM(D26:D30)</f>
        <v>-16656.523952966847</v>
      </c>
      <c r="E31" s="32">
        <f t="shared" ref="E31:S31" si="7">SUM(E26:E30)</f>
        <v>-16999.425125156067</v>
      </c>
      <c r="F31" s="32">
        <f t="shared" si="7"/>
        <v>-17362.720426286105</v>
      </c>
      <c r="G31" s="32">
        <f t="shared" si="7"/>
        <v>-17748.046835540445</v>
      </c>
      <c r="H31" s="32">
        <f t="shared" si="7"/>
        <v>-18157.200176687766</v>
      </c>
      <c r="I31" s="32">
        <f t="shared" si="7"/>
        <v>-18592.151848176916</v>
      </c>
      <c r="J31" s="32">
        <f t="shared" si="7"/>
        <v>-19055.067367544041</v>
      </c>
      <c r="K31" s="32">
        <f t="shared" si="7"/>
        <v>166172.47129390202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7"/>
        <v>0</v>
      </c>
      <c r="P31" s="32">
        <f t="shared" si="7"/>
        <v>0</v>
      </c>
      <c r="Q31" s="32">
        <f t="shared" si="7"/>
        <v>0</v>
      </c>
      <c r="R31" s="32">
        <f t="shared" si="7"/>
        <v>0</v>
      </c>
      <c r="S31" s="32">
        <f t="shared" si="7"/>
        <v>0</v>
      </c>
    </row>
    <row r="32" spans="1:19" x14ac:dyDescent="0.25">
      <c r="A32" s="12"/>
      <c r="B32" s="27" t="s">
        <v>6</v>
      </c>
      <c r="C32" s="28">
        <f>XNPV($H$21,C31:S31,C25:S25)</f>
        <v>-82292.159747050187</v>
      </c>
    </row>
    <row r="33" spans="1:33" x14ac:dyDescent="0.25">
      <c r="A33" s="12"/>
    </row>
    <row r="34" spans="1:33" ht="15.75" thickBot="1" x14ac:dyDescent="0.3">
      <c r="A34" s="12"/>
    </row>
    <row r="35" spans="1:33" x14ac:dyDescent="0.25">
      <c r="A35" s="12"/>
      <c r="B35" s="25" t="s">
        <v>5</v>
      </c>
      <c r="C35" s="26">
        <f>C25</f>
        <v>73415</v>
      </c>
      <c r="D35" s="26">
        <f>D25</f>
        <v>73596</v>
      </c>
      <c r="E35" s="26">
        <f t="shared" ref="E35:R35" si="8">E25</f>
        <v>73961</v>
      </c>
      <c r="F35" s="26">
        <f t="shared" si="8"/>
        <v>74326</v>
      </c>
      <c r="G35" s="26">
        <f t="shared" si="8"/>
        <v>74692</v>
      </c>
      <c r="H35" s="26">
        <f t="shared" si="8"/>
        <v>75057</v>
      </c>
      <c r="I35" s="26">
        <f t="shared" si="8"/>
        <v>75422</v>
      </c>
      <c r="J35" s="26">
        <f t="shared" si="8"/>
        <v>75787</v>
      </c>
      <c r="K35" s="26">
        <f t="shared" si="8"/>
        <v>75971</v>
      </c>
      <c r="L35" s="26">
        <f t="shared" si="8"/>
        <v>76155</v>
      </c>
      <c r="M35" s="26">
        <f t="shared" si="8"/>
        <v>76520</v>
      </c>
      <c r="N35" s="26">
        <f t="shared" si="8"/>
        <v>76885</v>
      </c>
      <c r="O35" s="26">
        <f t="shared" si="8"/>
        <v>77250</v>
      </c>
      <c r="P35" s="26">
        <f t="shared" si="8"/>
        <v>77616</v>
      </c>
      <c r="Q35" s="26">
        <f t="shared" si="8"/>
        <v>77981</v>
      </c>
      <c r="R35" s="26">
        <f t="shared" si="8"/>
        <v>78346</v>
      </c>
      <c r="S35" s="26">
        <f t="shared" ref="S35" si="9">S25</f>
        <v>78711</v>
      </c>
    </row>
    <row r="36" spans="1:33" x14ac:dyDescent="0.25">
      <c r="A36" s="12"/>
      <c r="B36" t="s">
        <v>44</v>
      </c>
      <c r="D36" s="9">
        <f t="shared" ref="D36:S36" si="10">IF(MONTH(D25)=6,$C$10*$H$18,0)</f>
        <v>4000</v>
      </c>
      <c r="E36" s="9">
        <f t="shared" si="10"/>
        <v>4000</v>
      </c>
      <c r="F36" s="9">
        <f t="shared" si="10"/>
        <v>4000</v>
      </c>
      <c r="G36" s="9">
        <f t="shared" si="10"/>
        <v>4000</v>
      </c>
      <c r="H36" s="9">
        <f t="shared" si="10"/>
        <v>4000</v>
      </c>
      <c r="I36" s="9">
        <f t="shared" si="10"/>
        <v>4000</v>
      </c>
      <c r="J36" s="9">
        <f t="shared" si="10"/>
        <v>4000</v>
      </c>
      <c r="K36" s="9">
        <f t="shared" si="10"/>
        <v>0</v>
      </c>
      <c r="L36" s="9">
        <f t="shared" si="10"/>
        <v>0</v>
      </c>
      <c r="M36" s="9">
        <f t="shared" si="10"/>
        <v>0</v>
      </c>
      <c r="N36" s="9">
        <f t="shared" si="10"/>
        <v>0</v>
      </c>
      <c r="O36" s="9">
        <f t="shared" si="10"/>
        <v>0</v>
      </c>
      <c r="P36" s="9">
        <f t="shared" si="10"/>
        <v>0</v>
      </c>
      <c r="Q36" s="9">
        <f t="shared" si="10"/>
        <v>0</v>
      </c>
      <c r="R36" s="9">
        <f t="shared" si="10"/>
        <v>0</v>
      </c>
      <c r="S36" s="9">
        <f t="shared" si="10"/>
        <v>0</v>
      </c>
    </row>
    <row r="37" spans="1:33" x14ac:dyDescent="0.25">
      <c r="A37" s="12"/>
      <c r="B37" s="29" t="s">
        <v>31</v>
      </c>
      <c r="C37" s="29"/>
      <c r="D37" s="30">
        <f>-$H$10</f>
        <v>-11000</v>
      </c>
      <c r="E37" s="30">
        <f t="shared" ref="E37:S37" si="11">IF(MONTH(E25)=6,D37*(1+$H$8),0)</f>
        <v>-11385</v>
      </c>
      <c r="F37" s="30">
        <f t="shared" si="11"/>
        <v>-11783.474999999999</v>
      </c>
      <c r="G37" s="30">
        <f t="shared" si="11"/>
        <v>-12195.896624999998</v>
      </c>
      <c r="H37" s="30">
        <f t="shared" si="11"/>
        <v>-12622.753006874997</v>
      </c>
      <c r="I37" s="30">
        <f t="shared" si="11"/>
        <v>-13064.54936211562</v>
      </c>
      <c r="J37" s="30">
        <f t="shared" si="11"/>
        <v>-13521.808589789665</v>
      </c>
      <c r="K37" s="30">
        <f t="shared" si="11"/>
        <v>0</v>
      </c>
      <c r="L37" s="30">
        <f t="shared" si="11"/>
        <v>0</v>
      </c>
      <c r="M37" s="30">
        <f t="shared" si="11"/>
        <v>0</v>
      </c>
      <c r="N37" s="30">
        <f t="shared" si="11"/>
        <v>0</v>
      </c>
      <c r="O37" s="30">
        <f t="shared" si="11"/>
        <v>0</v>
      </c>
      <c r="P37" s="30">
        <f t="shared" si="11"/>
        <v>0</v>
      </c>
      <c r="Q37" s="30">
        <f t="shared" si="11"/>
        <v>0</v>
      </c>
      <c r="R37" s="30">
        <f t="shared" si="11"/>
        <v>0</v>
      </c>
      <c r="S37" s="30">
        <f t="shared" si="11"/>
        <v>0</v>
      </c>
    </row>
    <row r="38" spans="1:33" ht="15.75" thickBot="1" x14ac:dyDescent="0.3">
      <c r="B38" s="31" t="s">
        <v>28</v>
      </c>
      <c r="C38" s="32">
        <f>SUM(C36:C37)</f>
        <v>0</v>
      </c>
      <c r="D38" s="32">
        <f t="shared" ref="D38" si="12">SUM(D36:D37)</f>
        <v>-7000</v>
      </c>
      <c r="E38" s="32">
        <f t="shared" ref="E38" si="13">SUM(E36:E37)</f>
        <v>-7385</v>
      </c>
      <c r="F38" s="32">
        <f t="shared" ref="F38" si="14">SUM(F36:F37)</f>
        <v>-7783.4749999999985</v>
      </c>
      <c r="G38" s="32">
        <f t="shared" ref="G38" si="15">SUM(G36:G37)</f>
        <v>-8195.8966249999976</v>
      </c>
      <c r="H38" s="32">
        <f t="shared" ref="H38" si="16">SUM(H36:H37)</f>
        <v>-8622.7530068749966</v>
      </c>
      <c r="I38" s="32">
        <f t="shared" ref="I38" si="17">SUM(I36:I37)</f>
        <v>-9064.5493621156202</v>
      </c>
      <c r="J38" s="32">
        <f t="shared" ref="J38" si="18">SUM(J36:J37)</f>
        <v>-9521.8085897896653</v>
      </c>
      <c r="K38" s="32">
        <f t="shared" ref="K38" si="19">SUM(K36:K37)</f>
        <v>0</v>
      </c>
      <c r="L38" s="32">
        <f t="shared" ref="L38" si="20">SUM(L36:L37)</f>
        <v>0</v>
      </c>
      <c r="M38" s="32">
        <f t="shared" ref="M38" si="21">SUM(M36:M37)</f>
        <v>0</v>
      </c>
      <c r="N38" s="32">
        <f t="shared" ref="N38" si="22">SUM(N36:N37)</f>
        <v>0</v>
      </c>
      <c r="O38" s="32">
        <f t="shared" ref="O38" si="23">SUM(O36:O37)</f>
        <v>0</v>
      </c>
      <c r="P38" s="32">
        <f t="shared" ref="P38" si="24">SUM(P36:P37)</f>
        <v>0</v>
      </c>
      <c r="Q38" s="32">
        <f t="shared" ref="Q38" si="25">SUM(Q36:Q37)</f>
        <v>0</v>
      </c>
      <c r="R38" s="32">
        <f t="shared" ref="R38:S38" si="26">SUM(R36:R37)</f>
        <v>0</v>
      </c>
      <c r="S38" s="32">
        <f t="shared" si="26"/>
        <v>0</v>
      </c>
    </row>
    <row r="39" spans="1:33" x14ac:dyDescent="0.25">
      <c r="B39" s="27" t="s">
        <v>6</v>
      </c>
      <c r="C39" s="28">
        <f>XNPV($H$21,C38:S38,C35:S35)</f>
        <v>-49945.638373386115</v>
      </c>
    </row>
    <row r="40" spans="1:33" x14ac:dyDescent="0.25">
      <c r="C40" s="5"/>
    </row>
    <row r="41" spans="1:33" x14ac:dyDescent="0.25">
      <c r="C41" s="5"/>
    </row>
    <row r="42" spans="1:33" ht="18.75" x14ac:dyDescent="0.3">
      <c r="A42" s="15" t="s">
        <v>26</v>
      </c>
    </row>
    <row r="43" spans="1:33" ht="19.5" thickBot="1" x14ac:dyDescent="0.35">
      <c r="A43" s="15"/>
    </row>
    <row r="44" spans="1:33" x14ac:dyDescent="0.25">
      <c r="B44" s="25" t="s">
        <v>36</v>
      </c>
      <c r="C44" s="33">
        <v>0</v>
      </c>
      <c r="D44" s="33">
        <v>1</v>
      </c>
      <c r="E44" s="33">
        <f>D44+1</f>
        <v>2</v>
      </c>
      <c r="F44" s="33">
        <f t="shared" ref="F44:S44" si="27">E44+1</f>
        <v>3</v>
      </c>
      <c r="G44" s="33">
        <f t="shared" si="27"/>
        <v>4</v>
      </c>
      <c r="H44" s="33">
        <f t="shared" si="27"/>
        <v>5</v>
      </c>
      <c r="I44" s="33">
        <f t="shared" si="27"/>
        <v>6</v>
      </c>
      <c r="J44" s="33">
        <f t="shared" si="27"/>
        <v>7</v>
      </c>
      <c r="K44" s="33">
        <f t="shared" si="27"/>
        <v>8</v>
      </c>
      <c r="L44" s="33">
        <f t="shared" si="27"/>
        <v>9</v>
      </c>
      <c r="M44" s="33">
        <f t="shared" si="27"/>
        <v>10</v>
      </c>
      <c r="N44" s="33">
        <f t="shared" si="27"/>
        <v>11</v>
      </c>
      <c r="O44" s="33">
        <f t="shared" si="27"/>
        <v>12</v>
      </c>
      <c r="P44" s="33">
        <f t="shared" si="27"/>
        <v>13</v>
      </c>
      <c r="Q44" s="33">
        <f t="shared" si="27"/>
        <v>14</v>
      </c>
      <c r="R44" s="33">
        <f t="shared" si="27"/>
        <v>15</v>
      </c>
      <c r="S44" s="33">
        <f t="shared" si="27"/>
        <v>16</v>
      </c>
    </row>
    <row r="45" spans="1:33" x14ac:dyDescent="0.25">
      <c r="B45" t="s">
        <v>7</v>
      </c>
      <c r="D45" s="5">
        <f>C46</f>
        <v>100000</v>
      </c>
      <c r="E45" s="5">
        <f>D46</f>
        <v>97093.476047033153</v>
      </c>
      <c r="F45" s="5">
        <f t="shared" ref="F45:R45" si="28">E46</f>
        <v>93867.23445923996</v>
      </c>
      <c r="G45" s="5">
        <f t="shared" si="28"/>
        <v>90286.106296789512</v>
      </c>
      <c r="H45" s="5">
        <f t="shared" si="28"/>
        <v>86311.054036469519</v>
      </c>
      <c r="I45" s="5">
        <f t="shared" si="28"/>
        <v>81898.746027514324</v>
      </c>
      <c r="J45" s="5">
        <f t="shared" si="28"/>
        <v>77001.084137574057</v>
      </c>
      <c r="K45" s="5">
        <f t="shared" si="28"/>
        <v>71564.679439740357</v>
      </c>
      <c r="L45" s="5">
        <f t="shared" si="28"/>
        <v>65530.270225144952</v>
      </c>
      <c r="M45" s="5">
        <f t="shared" si="28"/>
        <v>58832.075996944055</v>
      </c>
      <c r="N45" s="5">
        <f t="shared" si="28"/>
        <v>51397.080403641055</v>
      </c>
      <c r="O45" s="5">
        <f t="shared" si="28"/>
        <v>43144.23529507473</v>
      </c>
      <c r="P45" s="5">
        <f t="shared" si="28"/>
        <v>33983.577224566106</v>
      </c>
      <c r="Q45" s="5">
        <f t="shared" si="28"/>
        <v>23815.246766301534</v>
      </c>
      <c r="R45" s="5">
        <f t="shared" si="28"/>
        <v>12528.399957627858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x14ac:dyDescent="0.25">
      <c r="B46" t="s">
        <v>8</v>
      </c>
      <c r="C46" s="22">
        <f>C13</f>
        <v>100000</v>
      </c>
      <c r="D46" s="5">
        <f>D45+D48</f>
        <v>97093.476047033153</v>
      </c>
      <c r="E46" s="5">
        <f t="shared" ref="E46:R46" si="29">E45+E48</f>
        <v>93867.23445923996</v>
      </c>
      <c r="F46" s="5">
        <f t="shared" si="29"/>
        <v>90286.106296789512</v>
      </c>
      <c r="G46" s="5">
        <f t="shared" si="29"/>
        <v>86311.054036469519</v>
      </c>
      <c r="H46" s="5">
        <f t="shared" si="29"/>
        <v>81898.746027514324</v>
      </c>
      <c r="I46" s="5">
        <f t="shared" si="29"/>
        <v>77001.084137574057</v>
      </c>
      <c r="J46" s="5">
        <f t="shared" si="29"/>
        <v>71564.679439740357</v>
      </c>
      <c r="K46" s="5">
        <f t="shared" si="29"/>
        <v>65530.270225144952</v>
      </c>
      <c r="L46" s="5">
        <f t="shared" si="29"/>
        <v>58832.075996944055</v>
      </c>
      <c r="M46" s="5">
        <f t="shared" si="29"/>
        <v>51397.080403641055</v>
      </c>
      <c r="N46" s="5">
        <f t="shared" si="29"/>
        <v>43144.23529507473</v>
      </c>
      <c r="O46" s="5">
        <f t="shared" si="29"/>
        <v>33983.577224566106</v>
      </c>
      <c r="P46" s="5">
        <f t="shared" si="29"/>
        <v>23815.246766301534</v>
      </c>
      <c r="Q46" s="5">
        <f t="shared" si="29"/>
        <v>12528.399957627858</v>
      </c>
      <c r="R46" s="5">
        <f t="shared" si="29"/>
        <v>7.8216544352471828E-11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x14ac:dyDescent="0.25">
      <c r="B47" t="s">
        <v>9</v>
      </c>
      <c r="D47" s="36">
        <f t="shared" ref="D47:R47" si="30">PMT($C$19,15,$D$45)</f>
        <v>-13906.523952966845</v>
      </c>
      <c r="E47" s="36">
        <f t="shared" si="30"/>
        <v>-13906.523952966845</v>
      </c>
      <c r="F47" s="36">
        <f t="shared" si="30"/>
        <v>-13906.523952966845</v>
      </c>
      <c r="G47" s="36">
        <f t="shared" si="30"/>
        <v>-13906.523952966845</v>
      </c>
      <c r="H47" s="36">
        <f t="shared" si="30"/>
        <v>-13906.523952966845</v>
      </c>
      <c r="I47" s="36">
        <f t="shared" si="30"/>
        <v>-13906.523952966845</v>
      </c>
      <c r="J47" s="36">
        <f t="shared" si="30"/>
        <v>-13906.523952966845</v>
      </c>
      <c r="K47" s="36">
        <f t="shared" si="30"/>
        <v>-13906.523952966845</v>
      </c>
      <c r="L47" s="36">
        <f t="shared" si="30"/>
        <v>-13906.523952966845</v>
      </c>
      <c r="M47" s="36">
        <f t="shared" si="30"/>
        <v>-13906.523952966845</v>
      </c>
      <c r="N47" s="36">
        <f t="shared" si="30"/>
        <v>-13906.523952966845</v>
      </c>
      <c r="O47" s="36">
        <f t="shared" si="30"/>
        <v>-13906.523952966845</v>
      </c>
      <c r="P47" s="36">
        <f t="shared" si="30"/>
        <v>-13906.523952966845</v>
      </c>
      <c r="Q47" s="36">
        <f t="shared" si="30"/>
        <v>-13906.523952966845</v>
      </c>
      <c r="R47" s="36">
        <f t="shared" si="30"/>
        <v>-13906.523952966845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x14ac:dyDescent="0.25">
      <c r="B48" t="s">
        <v>45</v>
      </c>
      <c r="D48" s="36">
        <f>D47-D49</f>
        <v>-2906.5239529668452</v>
      </c>
      <c r="E48" s="36">
        <f t="shared" ref="E48:R48" si="31">E47-E49</f>
        <v>-3226.2415877931981</v>
      </c>
      <c r="F48" s="36">
        <f t="shared" si="31"/>
        <v>-3581.12816245045</v>
      </c>
      <c r="G48" s="36">
        <f t="shared" si="31"/>
        <v>-3975.0522603199988</v>
      </c>
      <c r="H48" s="36">
        <f t="shared" si="31"/>
        <v>-4412.3080089551986</v>
      </c>
      <c r="I48" s="36">
        <f t="shared" si="31"/>
        <v>-4897.6618899402692</v>
      </c>
      <c r="J48" s="36">
        <f t="shared" si="31"/>
        <v>-5436.4046978336992</v>
      </c>
      <c r="K48" s="36">
        <f t="shared" si="31"/>
        <v>-6034.4092145954055</v>
      </c>
      <c r="L48" s="36">
        <f t="shared" si="31"/>
        <v>-6698.1942282009004</v>
      </c>
      <c r="M48" s="36">
        <f t="shared" si="31"/>
        <v>-7434.9955933029987</v>
      </c>
      <c r="N48" s="36">
        <f t="shared" si="31"/>
        <v>-8252.8451085663291</v>
      </c>
      <c r="O48" s="36">
        <f t="shared" si="31"/>
        <v>-9160.6580705086235</v>
      </c>
      <c r="P48" s="36">
        <f t="shared" si="31"/>
        <v>-10168.330458264572</v>
      </c>
      <c r="Q48" s="36">
        <f t="shared" si="31"/>
        <v>-11286.846808673676</v>
      </c>
      <c r="R48" s="36">
        <f t="shared" si="31"/>
        <v>-12528.39995762778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2:33" ht="15.75" thickBot="1" x14ac:dyDescent="0.3">
      <c r="B49" s="6" t="s">
        <v>46</v>
      </c>
      <c r="C49" s="6"/>
      <c r="D49" s="13">
        <f t="shared" ref="D49:R49" si="32">-D45*$C$19</f>
        <v>-11000</v>
      </c>
      <c r="E49" s="13">
        <f t="shared" si="32"/>
        <v>-10680.282365173647</v>
      </c>
      <c r="F49" s="13">
        <f t="shared" si="32"/>
        <v>-10325.395790516395</v>
      </c>
      <c r="G49" s="13">
        <f t="shared" si="32"/>
        <v>-9931.4716926468463</v>
      </c>
      <c r="H49" s="13">
        <f t="shared" si="32"/>
        <v>-9494.2159440116466</v>
      </c>
      <c r="I49" s="13">
        <f t="shared" si="32"/>
        <v>-9008.8620630265759</v>
      </c>
      <c r="J49" s="13">
        <f t="shared" si="32"/>
        <v>-8470.119255133146</v>
      </c>
      <c r="K49" s="13">
        <f t="shared" si="32"/>
        <v>-7872.1147383714397</v>
      </c>
      <c r="L49" s="13">
        <f t="shared" si="32"/>
        <v>-7208.3297247659448</v>
      </c>
      <c r="M49" s="13">
        <f t="shared" si="32"/>
        <v>-6471.5283596638465</v>
      </c>
      <c r="N49" s="13">
        <f t="shared" si="32"/>
        <v>-5653.678844400516</v>
      </c>
      <c r="O49" s="13">
        <f t="shared" si="32"/>
        <v>-4745.8658824582208</v>
      </c>
      <c r="P49" s="13">
        <f t="shared" si="32"/>
        <v>-3738.1934947022719</v>
      </c>
      <c r="Q49" s="13">
        <f t="shared" si="32"/>
        <v>-2619.6771442931686</v>
      </c>
      <c r="R49" s="13">
        <f t="shared" si="32"/>
        <v>-1378.1239953390643</v>
      </c>
      <c r="S49" s="13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2:33" x14ac:dyDescent="0.2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2:33" ht="15.75" thickBot="1" x14ac:dyDescent="0.3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2:33" x14ac:dyDescent="0.25">
      <c r="B52" s="25" t="s">
        <v>36</v>
      </c>
      <c r="C52" s="33">
        <v>0</v>
      </c>
      <c r="D52" s="33">
        <v>1</v>
      </c>
      <c r="E52" s="33">
        <f>D52+1</f>
        <v>2</v>
      </c>
      <c r="F52" s="33">
        <f t="shared" ref="F52:S52" si="33">E52+1</f>
        <v>3</v>
      </c>
      <c r="G52" s="33">
        <f t="shared" si="33"/>
        <v>4</v>
      </c>
      <c r="H52" s="33">
        <f t="shared" si="33"/>
        <v>5</v>
      </c>
      <c r="I52" s="33">
        <f t="shared" si="33"/>
        <v>6</v>
      </c>
      <c r="J52" s="33">
        <f t="shared" si="33"/>
        <v>7</v>
      </c>
      <c r="K52" s="33">
        <f t="shared" si="33"/>
        <v>8</v>
      </c>
      <c r="L52" s="33">
        <f t="shared" si="33"/>
        <v>9</v>
      </c>
      <c r="M52" s="33">
        <f t="shared" si="33"/>
        <v>10</v>
      </c>
      <c r="N52" s="33">
        <f t="shared" si="33"/>
        <v>11</v>
      </c>
      <c r="O52" s="33">
        <f t="shared" si="33"/>
        <v>12</v>
      </c>
      <c r="P52" s="33">
        <f t="shared" si="33"/>
        <v>13</v>
      </c>
      <c r="Q52" s="33">
        <f t="shared" si="33"/>
        <v>14</v>
      </c>
      <c r="R52" s="33">
        <f t="shared" si="33"/>
        <v>15</v>
      </c>
      <c r="S52" s="33">
        <f t="shared" si="33"/>
        <v>16</v>
      </c>
    </row>
    <row r="53" spans="2:33" ht="15.75" thickBot="1" x14ac:dyDescent="0.3">
      <c r="B53" s="34" t="s">
        <v>30</v>
      </c>
      <c r="C53" s="35">
        <f>C8</f>
        <v>200000</v>
      </c>
      <c r="D53" s="35">
        <f t="shared" ref="D53:R53" si="34">C53*(1+$H$19)</f>
        <v>204999.99999999997</v>
      </c>
      <c r="E53" s="35">
        <f t="shared" si="34"/>
        <v>210124.99999999994</v>
      </c>
      <c r="F53" s="35">
        <f t="shared" si="34"/>
        <v>215378.12499999991</v>
      </c>
      <c r="G53" s="35">
        <f t="shared" si="34"/>
        <v>220762.57812499988</v>
      </c>
      <c r="H53" s="35">
        <f t="shared" si="34"/>
        <v>226281.64257812485</v>
      </c>
      <c r="I53" s="35">
        <f t="shared" si="34"/>
        <v>231938.68364257796</v>
      </c>
      <c r="J53" s="35">
        <f t="shared" si="34"/>
        <v>237737.1507336424</v>
      </c>
      <c r="K53" s="35">
        <f t="shared" si="34"/>
        <v>243680.57950198345</v>
      </c>
      <c r="L53" s="35">
        <f t="shared" si="34"/>
        <v>249772.59398953302</v>
      </c>
      <c r="M53" s="35">
        <f t="shared" si="34"/>
        <v>256016.90883927132</v>
      </c>
      <c r="N53" s="35">
        <f t="shared" si="34"/>
        <v>262417.33156025305</v>
      </c>
      <c r="O53" s="35">
        <f t="shared" si="34"/>
        <v>268977.76484925934</v>
      </c>
      <c r="P53" s="35">
        <f t="shared" si="34"/>
        <v>275702.20897049078</v>
      </c>
      <c r="Q53" s="35">
        <f t="shared" si="34"/>
        <v>282594.76419475302</v>
      </c>
      <c r="R53" s="35">
        <f t="shared" si="34"/>
        <v>289659.63329962181</v>
      </c>
      <c r="S53" s="35"/>
    </row>
    <row r="54" spans="2:33" x14ac:dyDescent="0.25"/>
    <row r="55" spans="2:33" hidden="1" x14ac:dyDescent="0.25"/>
    <row r="56" spans="2:33" hidden="1" x14ac:dyDescent="0.25"/>
    <row r="57" spans="2:33" hidden="1" x14ac:dyDescent="0.25"/>
    <row r="58" spans="2:33" hidden="1" x14ac:dyDescent="0.25"/>
    <row r="59" spans="2:33" hidden="1" x14ac:dyDescent="0.25"/>
    <row r="60" spans="2:33" hidden="1" x14ac:dyDescent="0.25"/>
    <row r="61" spans="2:33" hidden="1" x14ac:dyDescent="0.25"/>
    <row r="62" spans="2:33" hidden="1" x14ac:dyDescent="0.25"/>
    <row r="63" spans="2:33" hidden="1" x14ac:dyDescent="0.25"/>
    <row r="64" spans="2:33" hidden="1" x14ac:dyDescent="0.25"/>
    <row r="65" hidden="1" x14ac:dyDescent="0.25"/>
    <row r="66" hidden="1" x14ac:dyDescent="0.25"/>
    <row r="67" hidden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Cubierta</vt:lpstr>
      <vt:lpstr>Analisis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Leo</cp:lastModifiedBy>
  <dcterms:created xsi:type="dcterms:W3CDTF">2013-11-21T20:49:44Z</dcterms:created>
  <dcterms:modified xsi:type="dcterms:W3CDTF">2013-11-27T17:01:48Z</dcterms:modified>
</cp:coreProperties>
</file>